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020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0" i="1" l="1"/>
  <c r="O21" i="1"/>
  <c r="J27" i="1"/>
  <c r="K27" i="1"/>
  <c r="I27" i="1"/>
  <c r="J26" i="1"/>
  <c r="K26" i="1"/>
  <c r="J25" i="1"/>
  <c r="K25" i="1"/>
  <c r="I25" i="1"/>
  <c r="J24" i="1"/>
  <c r="K24" i="1"/>
  <c r="I24" i="1"/>
  <c r="K23" i="1"/>
  <c r="J23" i="1"/>
  <c r="I23" i="1"/>
  <c r="L23" i="1"/>
  <c r="J22" i="1"/>
  <c r="K22" i="1"/>
  <c r="I22" i="1"/>
  <c r="J21" i="1"/>
  <c r="I21" i="1"/>
  <c r="K20" i="1"/>
  <c r="J20" i="1"/>
  <c r="K19" i="1"/>
  <c r="J19" i="1"/>
  <c r="I19" i="1"/>
  <c r="K18" i="1"/>
  <c r="J18" i="1"/>
  <c r="I18" i="1"/>
  <c r="K14" i="1"/>
  <c r="J14" i="1"/>
  <c r="I14" i="1"/>
  <c r="J11" i="1"/>
  <c r="I11" i="1"/>
  <c r="I9" i="1"/>
  <c r="J9" i="1"/>
  <c r="I7" i="1"/>
  <c r="K7" i="1"/>
  <c r="E9" i="1"/>
  <c r="G9" i="1"/>
  <c r="G22" i="1"/>
  <c r="F22" i="1"/>
  <c r="E22" i="1"/>
  <c r="F20" i="1"/>
  <c r="E20" i="1"/>
  <c r="G19" i="1"/>
  <c r="G18" i="1"/>
  <c r="E18" i="1"/>
  <c r="E14" i="1"/>
  <c r="F14" i="1"/>
  <c r="G11" i="1"/>
  <c r="E11" i="1"/>
  <c r="G7" i="1"/>
  <c r="E7" i="1"/>
  <c r="D19" i="1"/>
  <c r="D20" i="1"/>
  <c r="D21" i="1"/>
  <c r="D22" i="1"/>
  <c r="D23" i="1"/>
  <c r="D24" i="1"/>
  <c r="D25" i="1"/>
  <c r="D26" i="1"/>
  <c r="D27" i="1"/>
  <c r="D18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<sst xmlns="http://schemas.openxmlformats.org/spreadsheetml/2006/main" count="73" uniqueCount="70">
  <si>
    <t>R499</t>
  </si>
  <si>
    <t>D399</t>
  </si>
  <si>
    <t>IT and Telecommunications - Other</t>
  </si>
  <si>
    <t>R406</t>
  </si>
  <si>
    <t>Policy Review/Development Services</t>
  </si>
  <si>
    <t>R407</t>
  </si>
  <si>
    <t>Program Evaluation Services</t>
  </si>
  <si>
    <t>R408</t>
  </si>
  <si>
    <t>Program Management/Support Services</t>
  </si>
  <si>
    <t>R409</t>
  </si>
  <si>
    <t>Program Review/Development Services</t>
  </si>
  <si>
    <t>R707</t>
  </si>
  <si>
    <t>Management Services/Contract and Procurement Support</t>
  </si>
  <si>
    <t>R425</t>
  </si>
  <si>
    <t>Engineering and Technical Services</t>
  </si>
  <si>
    <t>Biggest Percentage of Obligations</t>
  </si>
  <si>
    <t>Q999</t>
  </si>
  <si>
    <t>Y1DA</t>
  </si>
  <si>
    <t>Q201</t>
  </si>
  <si>
    <t>Q403</t>
  </si>
  <si>
    <t>Z1DA</t>
  </si>
  <si>
    <t>Q402</t>
  </si>
  <si>
    <t>Obligations</t>
  </si>
  <si>
    <t>% Total Obligations</t>
  </si>
  <si>
    <t>Fixed price</t>
  </si>
  <si>
    <t>Cost</t>
  </si>
  <si>
    <t>T&amp;M/LH</t>
  </si>
  <si>
    <t>Other</t>
  </si>
  <si>
    <t>Competed</t>
  </si>
  <si>
    <t>Not Competed</t>
  </si>
  <si>
    <t>Not Available for Competition</t>
  </si>
  <si>
    <t>Q1</t>
  </si>
  <si>
    <t>Q2</t>
  </si>
  <si>
    <t>Q3</t>
  </si>
  <si>
    <t>Q4</t>
  </si>
  <si>
    <t>Small Business</t>
  </si>
  <si>
    <t>SDB</t>
  </si>
  <si>
    <t>8(a) Program</t>
  </si>
  <si>
    <t>VOSB</t>
  </si>
  <si>
    <t>SDVOSB</t>
  </si>
  <si>
    <t>HUBZone</t>
  </si>
  <si>
    <t>WOSB</t>
  </si>
  <si>
    <t>Contract Type Analysis</t>
  </si>
  <si>
    <t>Competition Analysis</t>
  </si>
  <si>
    <t>Time of Obligation Analysis</t>
  </si>
  <si>
    <t>Small Business Analysis</t>
  </si>
  <si>
    <t>(as % of PSC Obligations)</t>
  </si>
  <si>
    <t>Special Interest Functions</t>
  </si>
  <si>
    <t>Medical - Other</t>
  </si>
  <si>
    <t>Construction of Hospitals and Infirmaries</t>
  </si>
  <si>
    <t>Medical - General Healthcare</t>
  </si>
  <si>
    <t>Medical - Evaluation Screening</t>
  </si>
  <si>
    <t>Maintenance of Hospitals and Infirmaries</t>
  </si>
  <si>
    <t>Medical - Nursing Home Contracts</t>
  </si>
  <si>
    <t>Blank</t>
  </si>
  <si>
    <t>B505</t>
  </si>
  <si>
    <t>Cost Benefit Analysis</t>
  </si>
  <si>
    <t>R413</t>
  </si>
  <si>
    <t>Specifications Development Services</t>
  </si>
  <si>
    <t>R423</t>
  </si>
  <si>
    <t>Intelligence Services</t>
  </si>
  <si>
    <t>R414</t>
  </si>
  <si>
    <t>Systems Engineering Services</t>
  </si>
  <si>
    <t>Appendix C: Standard Inventory Summary Format</t>
  </si>
  <si>
    <t>Department of Veterans Affairs FY 2015</t>
  </si>
  <si>
    <t>Z2DA</t>
  </si>
  <si>
    <t>J065</t>
  </si>
  <si>
    <t>Support - Professional: Other</t>
  </si>
  <si>
    <t>Repair or Alteration of Hospitals and Infirmaries</t>
  </si>
  <si>
    <t>Maint/Repair/Rebuild of Equipment - Medical, Dental, and Veterinary Equipment and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</si>
</sst>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6" applyNumberFormat="0" applyAlignment="0" applyProtection="0"/>
    <xf numFmtId="0" fontId="13" fillId="7" borderId="17" applyNumberFormat="0" applyAlignment="0" applyProtection="0"/>
    <xf numFmtId="0" fontId="14" fillId="7" borderId="16" applyNumberFormat="0" applyAlignment="0" applyProtection="0"/>
    <xf numFmtId="0" fontId="15" fillId="0" borderId="18" applyNumberFormat="0" applyFill="0" applyAlignment="0" applyProtection="0"/>
    <xf numFmtId="0" fontId="16" fillId="8" borderId="19" applyNumberFormat="0" applyAlignment="0" applyProtection="0"/>
    <xf numFmtId="0" fontId="17" fillId="0" borderId="0" applyNumberFormat="0" applyFill="0" applyBorder="0" applyAlignment="0" applyProtection="0"/>
    <xf numFmtId="0" fontId="4" fillId="9" borderId="2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0" borderId="10" xfId="0" applyBorder="1"/>
    <xf numFmtId="0" fontId="0" fillId="0" borderId="5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44" fontId="0" fillId="0" borderId="0" xfId="0" applyNumberFormat="1"/>
    <xf numFmtId="0" fontId="0" fillId="0" borderId="0" xfId="0" applyAlignment="1">
      <alignment horizontal="left"/>
    </xf>
    <xf numFmtId="9" fontId="0" fillId="0" borderId="8" xfId="0" applyNumberFormat="1" applyBorder="1"/>
    <xf numFmtId="44" fontId="0" fillId="0" borderId="0" xfId="0" applyNumberForma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/>
    <xf numFmtId="0" fontId="0" fillId="0" borderId="0" xfId="0" applyBorder="1" applyAlignment="1">
      <alignment horizontal="left" indent="1"/>
    </xf>
    <xf numFmtId="9" fontId="0" fillId="0" borderId="7" xfId="0" applyNumberFormat="1" applyBorder="1"/>
    <xf numFmtId="9" fontId="0" fillId="0" borderId="1" xfId="0" applyNumberFormat="1" applyBorder="1"/>
    <xf numFmtId="44" fontId="1" fillId="0" borderId="12" xfId="0" applyNumberFormat="1" applyFont="1" applyFill="1" applyBorder="1"/>
    <xf numFmtId="0" fontId="0" fillId="0" borderId="7" xfId="0" applyFill="1" applyBorder="1"/>
    <xf numFmtId="9" fontId="0" fillId="0" borderId="8" xfId="0" applyNumberFormat="1" applyBorder="1"/>
    <xf numFmtId="9" fontId="0" fillId="0" borderId="7" xfId="0" applyNumberFormat="1" applyBorder="1"/>
    <xf numFmtId="9" fontId="0" fillId="0" borderId="1" xfId="0" applyNumberFormat="1" applyBorder="1"/>
    <xf numFmtId="9" fontId="0" fillId="0" borderId="9" xfId="0" applyNumberFormat="1" applyBorder="1"/>
    <xf numFmtId="9" fontId="0" fillId="0" borderId="10" xfId="0" applyNumberFormat="1" applyBorder="1"/>
    <xf numFmtId="9" fontId="0" fillId="0" borderId="11" xfId="0" applyNumberFormat="1" applyBorder="1"/>
    <xf numFmtId="9" fontId="0" fillId="0" borderId="8" xfId="0" applyNumberFormat="1" applyFill="1" applyBorder="1"/>
    <xf numFmtId="9" fontId="0" fillId="0" borderId="7" xfId="0" applyNumberFormat="1" applyFill="1" applyBorder="1"/>
    <xf numFmtId="9" fontId="0" fillId="0" borderId="1" xfId="0" applyNumberFormat="1" applyFill="1" applyBorder="1"/>
    <xf numFmtId="5" fontId="0" fillId="0" borderId="1" xfId="0" applyNumberFormat="1" applyFill="1" applyBorder="1"/>
    <xf numFmtId="5" fontId="0" fillId="0" borderId="1" xfId="0" applyNumberFormat="1" applyFill="1" applyBorder="1" applyAlignment="1"/>
    <xf numFmtId="5" fontId="0" fillId="0" borderId="1" xfId="0" applyNumberFormat="1" applyBorder="1"/>
    <xf numFmtId="5" fontId="0" fillId="2" borderId="1" xfId="0" applyNumberFormat="1" applyFill="1" applyBorder="1"/>
    <xf numFmtId="5" fontId="0" fillId="0" borderId="0" xfId="0" applyNumberFormat="1" applyBorder="1"/>
    <xf numFmtId="5" fontId="0" fillId="0" borderId="10" xfId="0" applyNumberFormat="1" applyBorder="1"/>
    <xf numFmtId="0" fontId="2" fillId="0" borderId="0" xfId="0" applyFont="1" applyBorder="1"/>
    <xf numFmtId="0" fontId="3" fillId="0" borderId="3" xfId="0" applyFont="1" applyBorder="1"/>
    <xf numFmtId="0" fontId="0" fillId="0" borderId="1" xfId="0" applyFill="1" applyBorder="1"/>
    <xf numFmtId="0" fontId="0" fillId="0" borderId="9" xfId="0" applyFill="1" applyBorder="1"/>
    <xf numFmtId="9" fontId="0" fillId="0" borderId="22" xfId="0" applyNumberFormat="1" applyFill="1" applyBorder="1"/>
    <xf numFmtId="9" fontId="21" fillId="0" borderId="1" xfId="0" applyNumberFormat="1" applyFont="1" applyBorder="1"/>
    <xf numFmtId="6" fontId="22" fillId="0" borderId="0" xfId="0" applyNumberFormat="1" applyFont="1"/>
    <xf numFmtId="9" fontId="0" fillId="0" borderId="9" xfId="0" applyNumberFormat="1" applyFill="1" applyBorder="1"/>
    <xf numFmtId="9" fontId="0" fillId="0" borderId="10" xfId="0" applyNumberFormat="1" applyFill="1" applyBorder="1"/>
    <xf numFmtId="9" fontId="0" fillId="0" borderId="11" xfId="0" applyNumberFormat="1" applyFill="1" applyBorder="1"/>
    <xf numFmtId="9" fontId="21" fillId="0" borderId="7" xfId="0" applyNumberFormat="1" applyFont="1" applyBorder="1"/>
    <xf numFmtId="9" fontId="21" fillId="0" borderId="8" xfId="0" applyNumberFormat="1" applyFont="1" applyBorder="1"/>
    <xf numFmtId="9" fontId="21" fillId="0" borderId="7" xfId="0" applyNumberFormat="1" applyFont="1" applyFill="1" applyBorder="1"/>
    <xf numFmtId="9" fontId="21" fillId="0" borderId="1" xfId="0" applyNumberFormat="1" applyFont="1" applyFill="1" applyBorder="1"/>
    <xf numFmtId="9" fontId="21" fillId="0" borderId="8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2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82" zoomScaleNormal="82" workbookViewId="0">
      <pane xSplit="1" topLeftCell="H1" activePane="topRight" state="frozen"/>
      <selection pane="topRight" activeCell="T25" sqref="T25"/>
    </sheetView>
  </sheetViews>
  <sheetFormatPr defaultRowHeight="15" x14ac:dyDescent="0.25"/>
  <cols>
    <col min="2" max="2" width="70.28515625" customWidth="1"/>
    <col min="3" max="3" width="15.5703125" bestFit="1" customWidth="1"/>
    <col min="4" max="4" width="12.28515625" customWidth="1"/>
    <col min="8" max="8" width="9.140625" customWidth="1"/>
    <col min="9" max="9" width="10.7109375" customWidth="1"/>
    <col min="10" max="10" width="10.5703125" customWidth="1"/>
    <col min="11" max="11" width="12.85546875" customWidth="1"/>
    <col min="15" max="15" width="11.42578125" bestFit="1" customWidth="1"/>
    <col min="17" max="17" width="9.7109375" customWidth="1"/>
    <col min="22" max="22" width="9.85546875" bestFit="1" customWidth="1"/>
  </cols>
  <sheetData>
    <row r="1" spans="1:23" ht="21" thickTop="1" x14ac:dyDescent="0.3">
      <c r="A1" s="4"/>
      <c r="B1" s="53" t="s">
        <v>63</v>
      </c>
      <c r="C1" s="73"/>
      <c r="D1" s="74"/>
      <c r="E1" s="67" t="s">
        <v>42</v>
      </c>
      <c r="F1" s="68"/>
      <c r="G1" s="68"/>
      <c r="H1" s="69"/>
      <c r="I1" s="67" t="s">
        <v>43</v>
      </c>
      <c r="J1" s="68"/>
      <c r="K1" s="68"/>
      <c r="L1" s="69"/>
      <c r="M1" s="77" t="s">
        <v>44</v>
      </c>
      <c r="N1" s="73"/>
      <c r="O1" s="73"/>
      <c r="P1" s="74"/>
      <c r="Q1" s="67" t="s">
        <v>45</v>
      </c>
      <c r="R1" s="68"/>
      <c r="S1" s="68"/>
      <c r="T1" s="68"/>
      <c r="U1" s="68"/>
      <c r="V1" s="68"/>
      <c r="W1" s="69"/>
    </row>
    <row r="2" spans="1:23" ht="20.25" x14ac:dyDescent="0.3">
      <c r="A2" s="5"/>
      <c r="B2" s="52" t="s">
        <v>64</v>
      </c>
      <c r="C2" s="75"/>
      <c r="D2" s="76"/>
      <c r="E2" s="70" t="s">
        <v>46</v>
      </c>
      <c r="F2" s="71"/>
      <c r="G2" s="71"/>
      <c r="H2" s="72"/>
      <c r="I2" s="70" t="s">
        <v>46</v>
      </c>
      <c r="J2" s="71"/>
      <c r="K2" s="71"/>
      <c r="L2" s="72"/>
      <c r="M2" s="70" t="s">
        <v>46</v>
      </c>
      <c r="N2" s="71"/>
      <c r="O2" s="71"/>
      <c r="P2" s="72"/>
      <c r="Q2" s="70" t="s">
        <v>46</v>
      </c>
      <c r="R2" s="71"/>
      <c r="S2" s="71"/>
      <c r="T2" s="71"/>
      <c r="U2" s="71"/>
      <c r="V2" s="71"/>
      <c r="W2" s="72"/>
    </row>
    <row r="3" spans="1:23" s="1" customFormat="1" ht="45" x14ac:dyDescent="0.25">
      <c r="A3" s="7"/>
      <c r="B3" s="8"/>
      <c r="C3" s="9" t="s">
        <v>22</v>
      </c>
      <c r="D3" s="10" t="s">
        <v>23</v>
      </c>
      <c r="E3" s="19" t="s">
        <v>24</v>
      </c>
      <c r="F3" s="9" t="s">
        <v>25</v>
      </c>
      <c r="G3" s="9" t="s">
        <v>26</v>
      </c>
      <c r="H3" s="10" t="s">
        <v>27</v>
      </c>
      <c r="I3" s="19" t="s">
        <v>28</v>
      </c>
      <c r="J3" s="9" t="s">
        <v>29</v>
      </c>
      <c r="K3" s="9" t="s">
        <v>30</v>
      </c>
      <c r="L3" s="10" t="s">
        <v>54</v>
      </c>
      <c r="M3" s="19" t="s">
        <v>31</v>
      </c>
      <c r="N3" s="9" t="s">
        <v>32</v>
      </c>
      <c r="O3" s="9" t="s">
        <v>33</v>
      </c>
      <c r="P3" s="10" t="s">
        <v>34</v>
      </c>
      <c r="Q3" s="19" t="s">
        <v>35</v>
      </c>
      <c r="R3" s="9" t="s">
        <v>36</v>
      </c>
      <c r="S3" s="9" t="s">
        <v>37</v>
      </c>
      <c r="T3" s="9" t="s">
        <v>38</v>
      </c>
      <c r="U3" s="9" t="s">
        <v>39</v>
      </c>
      <c r="V3" s="9" t="s">
        <v>40</v>
      </c>
      <c r="W3" s="10" t="s">
        <v>41</v>
      </c>
    </row>
    <row r="4" spans="1:23" s="1" customFormat="1" x14ac:dyDescent="0.25">
      <c r="A4" s="11"/>
      <c r="B4" s="12"/>
      <c r="C4" s="13"/>
      <c r="D4" s="14"/>
      <c r="E4" s="20"/>
      <c r="F4" s="13"/>
      <c r="G4" s="13"/>
      <c r="H4" s="14"/>
      <c r="I4" s="20"/>
      <c r="J4" s="13"/>
      <c r="K4" s="13"/>
      <c r="L4" s="14"/>
      <c r="M4" s="20"/>
      <c r="N4" s="13"/>
      <c r="O4" s="12"/>
      <c r="P4" s="24"/>
      <c r="Q4" s="20"/>
      <c r="R4" s="13"/>
      <c r="S4" s="13"/>
      <c r="T4" s="13"/>
      <c r="U4" s="13"/>
      <c r="V4" s="13"/>
      <c r="W4" s="14"/>
    </row>
    <row r="5" spans="1:23" x14ac:dyDescent="0.25">
      <c r="A5" s="5" t="s">
        <v>47</v>
      </c>
      <c r="B5" s="6"/>
      <c r="C5" s="6"/>
      <c r="D5" s="15"/>
      <c r="E5" s="5"/>
      <c r="F5" s="6"/>
      <c r="G5" s="6"/>
      <c r="H5" s="15"/>
      <c r="I5" s="5"/>
      <c r="J5" s="6"/>
      <c r="K5" s="6"/>
      <c r="L5" s="15"/>
      <c r="M5" s="5"/>
      <c r="N5" s="6"/>
      <c r="O5" s="6"/>
      <c r="P5" s="15"/>
      <c r="Q5" s="5"/>
      <c r="R5" s="6"/>
      <c r="S5" s="6"/>
      <c r="T5" s="6"/>
      <c r="U5" s="6"/>
      <c r="V5" s="6"/>
      <c r="W5" s="15"/>
    </row>
    <row r="6" spans="1:23" ht="14.45" x14ac:dyDescent="0.3">
      <c r="A6" s="36" t="s">
        <v>55</v>
      </c>
      <c r="B6" s="54" t="s">
        <v>56</v>
      </c>
      <c r="C6" s="48">
        <v>0</v>
      </c>
      <c r="D6" s="27">
        <v>0</v>
      </c>
      <c r="E6" s="33">
        <v>0</v>
      </c>
      <c r="F6" s="34">
        <v>0</v>
      </c>
      <c r="G6" s="34">
        <v>0</v>
      </c>
      <c r="H6" s="27">
        <v>0</v>
      </c>
      <c r="I6" s="33">
        <v>0</v>
      </c>
      <c r="J6" s="34">
        <v>0</v>
      </c>
      <c r="K6" s="34">
        <v>0</v>
      </c>
      <c r="L6" s="27">
        <v>0</v>
      </c>
      <c r="M6" s="33">
        <v>0</v>
      </c>
      <c r="N6" s="34">
        <v>0</v>
      </c>
      <c r="O6" s="34">
        <v>0</v>
      </c>
      <c r="P6" s="27">
        <v>0</v>
      </c>
      <c r="Q6" s="33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27">
        <v>0</v>
      </c>
    </row>
    <row r="7" spans="1:23" ht="15" customHeight="1" x14ac:dyDescent="0.3">
      <c r="A7" s="36" t="s">
        <v>3</v>
      </c>
      <c r="B7" s="54" t="s">
        <v>4</v>
      </c>
      <c r="C7" s="58">
        <v>5990458</v>
      </c>
      <c r="D7" s="27">
        <f>C7/10468505976</f>
        <v>5.7223619241691872E-4</v>
      </c>
      <c r="E7" s="33">
        <f>1390458.13/5990458.13</f>
        <v>0.23211215233049295</v>
      </c>
      <c r="F7" s="34">
        <v>0</v>
      </c>
      <c r="G7" s="34">
        <f>4600000/5990458.13</f>
        <v>0.76788784766950702</v>
      </c>
      <c r="H7" s="27">
        <v>0</v>
      </c>
      <c r="I7" s="33">
        <f>(5339085.13+605848)/5990458.13</f>
        <v>0.99240041429018389</v>
      </c>
      <c r="J7" s="34">
        <v>0</v>
      </c>
      <c r="K7" s="34">
        <f>45525/5990458.13</f>
        <v>7.5995857098161545E-3</v>
      </c>
      <c r="L7" s="27">
        <v>0</v>
      </c>
      <c r="M7" s="62">
        <v>0.88</v>
      </c>
      <c r="N7" s="57">
        <v>0.04</v>
      </c>
      <c r="O7" s="57">
        <v>0.01</v>
      </c>
      <c r="P7" s="63">
        <v>7.0000000000000007E-2</v>
      </c>
      <c r="Q7" s="33">
        <v>0.87</v>
      </c>
      <c r="R7" s="34">
        <v>0</v>
      </c>
      <c r="S7" s="34">
        <v>0</v>
      </c>
      <c r="T7" s="34">
        <v>0.77</v>
      </c>
      <c r="U7" s="34">
        <v>0.77</v>
      </c>
      <c r="V7" s="34">
        <v>0</v>
      </c>
      <c r="W7" s="27">
        <v>7.0000000000000007E-2</v>
      </c>
    </row>
    <row r="8" spans="1:23" ht="14.45" x14ac:dyDescent="0.3">
      <c r="A8" s="36" t="s">
        <v>5</v>
      </c>
      <c r="B8" s="54" t="s">
        <v>6</v>
      </c>
      <c r="C8" s="48">
        <v>0</v>
      </c>
      <c r="D8" s="37">
        <f t="shared" ref="D8:D27" si="0">C8/10468505976</f>
        <v>0</v>
      </c>
      <c r="E8" s="33">
        <v>0</v>
      </c>
      <c r="F8" s="34">
        <v>0</v>
      </c>
      <c r="G8" s="34">
        <v>0</v>
      </c>
      <c r="H8" s="27">
        <v>0</v>
      </c>
      <c r="I8" s="33">
        <v>0</v>
      </c>
      <c r="J8" s="34">
        <v>0</v>
      </c>
      <c r="K8" s="34">
        <v>0</v>
      </c>
      <c r="L8" s="27">
        <v>0</v>
      </c>
      <c r="M8" s="38">
        <v>0</v>
      </c>
      <c r="N8" s="34">
        <v>0</v>
      </c>
      <c r="O8" s="34">
        <v>0</v>
      </c>
      <c r="P8" s="27">
        <v>0</v>
      </c>
      <c r="Q8" s="33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27">
        <v>0</v>
      </c>
    </row>
    <row r="9" spans="1:23" ht="14.45" x14ac:dyDescent="0.3">
      <c r="A9" s="36" t="s">
        <v>7</v>
      </c>
      <c r="B9" s="54" t="s">
        <v>8</v>
      </c>
      <c r="C9" s="48">
        <v>154884379.25</v>
      </c>
      <c r="D9" s="37">
        <f t="shared" si="0"/>
        <v>1.4795270653241877E-2</v>
      </c>
      <c r="E9" s="33">
        <f>120654796.2
/154884379.3</f>
        <v>0.77899912660850235</v>
      </c>
      <c r="F9" s="34">
        <v>0</v>
      </c>
      <c r="G9" s="34">
        <f>(33107367.07
+1122216)/154884379.3</f>
        <v>0.22100087319780476</v>
      </c>
      <c r="H9" s="27">
        <v>0</v>
      </c>
      <c r="I9" s="33">
        <f>(1855339.17+15027802.96+17267966.8+78872710.17+4586793.78+1074472.16+13297167.08+233572.8)/141784976.9</f>
        <v>0.93250940833633555</v>
      </c>
      <c r="J9" s="34">
        <f>(1512857.23+470370.01+480258.36+2569890.02+2133260+53106.29+2240826+108584.1)/141784976.9</f>
        <v>6.749059187525247E-2</v>
      </c>
      <c r="K9" s="34">
        <v>0</v>
      </c>
      <c r="L9" s="27">
        <v>0</v>
      </c>
      <c r="M9" s="62">
        <v>0.1</v>
      </c>
      <c r="N9" s="57">
        <v>0.32</v>
      </c>
      <c r="O9" s="57">
        <v>0.28999999999999998</v>
      </c>
      <c r="P9" s="63">
        <v>0.28999999999999998</v>
      </c>
      <c r="Q9" s="33">
        <v>0.38</v>
      </c>
      <c r="R9" s="34">
        <v>0.06</v>
      </c>
      <c r="S9" s="34">
        <v>0</v>
      </c>
      <c r="T9" s="34">
        <v>0.33</v>
      </c>
      <c r="U9" s="34">
        <v>0.31</v>
      </c>
      <c r="V9" s="34">
        <v>0.01</v>
      </c>
      <c r="W9" s="27">
        <v>0.02</v>
      </c>
    </row>
    <row r="10" spans="1:23" x14ac:dyDescent="0.25">
      <c r="A10" s="36" t="s">
        <v>9</v>
      </c>
      <c r="B10" s="54" t="s">
        <v>10</v>
      </c>
      <c r="C10" s="48">
        <v>279120.5</v>
      </c>
      <c r="D10" s="37">
        <f t="shared" si="0"/>
        <v>2.6662878221582821E-5</v>
      </c>
      <c r="E10" s="33">
        <v>1</v>
      </c>
      <c r="F10" s="34">
        <v>0</v>
      </c>
      <c r="G10" s="34">
        <v>0</v>
      </c>
      <c r="H10" s="27">
        <v>0</v>
      </c>
      <c r="I10" s="33">
        <v>0</v>
      </c>
      <c r="J10" s="34">
        <v>0</v>
      </c>
      <c r="K10" s="34">
        <v>1</v>
      </c>
      <c r="L10" s="27">
        <v>0</v>
      </c>
      <c r="M10" s="38">
        <f>279120.5
/C10</f>
        <v>1</v>
      </c>
      <c r="N10" s="39">
        <v>0</v>
      </c>
      <c r="O10" s="34">
        <v>0</v>
      </c>
      <c r="P10" s="27">
        <v>0</v>
      </c>
      <c r="Q10" s="33">
        <v>1</v>
      </c>
      <c r="R10" s="34">
        <v>0</v>
      </c>
      <c r="S10" s="34">
        <v>0</v>
      </c>
      <c r="T10" s="34">
        <v>1</v>
      </c>
      <c r="U10" s="34">
        <v>1</v>
      </c>
      <c r="V10" s="34">
        <v>0</v>
      </c>
      <c r="W10" s="27">
        <v>0</v>
      </c>
    </row>
    <row r="11" spans="1:23" ht="14.45" x14ac:dyDescent="0.3">
      <c r="A11" s="36" t="s">
        <v>57</v>
      </c>
      <c r="B11" s="54" t="s">
        <v>58</v>
      </c>
      <c r="C11" s="48">
        <v>7184206.2199999997</v>
      </c>
      <c r="D11" s="37">
        <f t="shared" si="0"/>
        <v>6.8626853119924125E-4</v>
      </c>
      <c r="E11" s="33">
        <f>4153851.74
/7184206.22</f>
        <v>0.57819216386580841</v>
      </c>
      <c r="F11" s="34">
        <v>0</v>
      </c>
      <c r="G11" s="34">
        <f>3030354.48
/7184206.22</f>
        <v>0.42180783613419159</v>
      </c>
      <c r="H11" s="27">
        <v>0</v>
      </c>
      <c r="I11" s="33">
        <f>7150206.22/7184206.22</f>
        <v>0.9952673964306108</v>
      </c>
      <c r="J11" s="34">
        <f>34000/7184206.22</f>
        <v>4.732603569389187E-3</v>
      </c>
      <c r="K11" s="34">
        <v>0</v>
      </c>
      <c r="L11" s="27">
        <v>0</v>
      </c>
      <c r="M11" s="62">
        <v>0.02</v>
      </c>
      <c r="N11" s="57">
        <v>0</v>
      </c>
      <c r="O11" s="57">
        <v>0.45</v>
      </c>
      <c r="P11" s="63">
        <v>0.53</v>
      </c>
      <c r="Q11" s="33">
        <v>0.56999999999999995</v>
      </c>
      <c r="R11" s="34">
        <v>0.23</v>
      </c>
      <c r="S11" s="34">
        <v>0</v>
      </c>
      <c r="T11" s="34">
        <v>0.55000000000000004</v>
      </c>
      <c r="U11" s="34">
        <v>0.11</v>
      </c>
      <c r="V11" s="34">
        <v>0</v>
      </c>
      <c r="W11" s="27">
        <v>0</v>
      </c>
    </row>
    <row r="12" spans="1:23" x14ac:dyDescent="0.25">
      <c r="A12" s="36" t="s">
        <v>61</v>
      </c>
      <c r="B12" s="54" t="s">
        <v>62</v>
      </c>
      <c r="C12" s="48">
        <v>0</v>
      </c>
      <c r="D12" s="37">
        <f t="shared" si="0"/>
        <v>0</v>
      </c>
      <c r="E12" s="33">
        <v>0</v>
      </c>
      <c r="F12" s="34">
        <v>0</v>
      </c>
      <c r="G12" s="34">
        <v>0</v>
      </c>
      <c r="H12" s="27">
        <v>0</v>
      </c>
      <c r="I12" s="33">
        <v>0</v>
      </c>
      <c r="J12" s="34">
        <v>0</v>
      </c>
      <c r="K12" s="34">
        <v>0</v>
      </c>
      <c r="L12" s="27">
        <v>0</v>
      </c>
      <c r="M12" s="38">
        <v>0</v>
      </c>
      <c r="N12" s="39">
        <v>0</v>
      </c>
      <c r="O12" s="34">
        <v>0</v>
      </c>
      <c r="P12" s="27">
        <v>0</v>
      </c>
      <c r="Q12" s="33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27">
        <v>0</v>
      </c>
    </row>
    <row r="13" spans="1:23" x14ac:dyDescent="0.25">
      <c r="A13" s="36" t="s">
        <v>59</v>
      </c>
      <c r="B13" s="54" t="s">
        <v>60</v>
      </c>
      <c r="C13" s="48">
        <v>200526.82</v>
      </c>
      <c r="D13" s="37">
        <f t="shared" si="0"/>
        <v>1.9155247220541875E-5</v>
      </c>
      <c r="E13" s="33">
        <v>1</v>
      </c>
      <c r="F13" s="34">
        <v>0</v>
      </c>
      <c r="G13" s="34">
        <v>0</v>
      </c>
      <c r="H13" s="27">
        <v>0</v>
      </c>
      <c r="I13" s="33">
        <v>1</v>
      </c>
      <c r="J13" s="34">
        <v>0</v>
      </c>
      <c r="K13" s="34">
        <v>0</v>
      </c>
      <c r="L13" s="27">
        <v>0</v>
      </c>
      <c r="M13" s="38">
        <v>0.2</v>
      </c>
      <c r="N13" s="39">
        <v>0.8</v>
      </c>
      <c r="O13" s="34">
        <v>0</v>
      </c>
      <c r="P13" s="27">
        <v>0</v>
      </c>
      <c r="Q13" s="33">
        <v>1</v>
      </c>
      <c r="R13" s="34">
        <v>1</v>
      </c>
      <c r="S13" s="34">
        <v>0</v>
      </c>
      <c r="T13" s="34">
        <v>1</v>
      </c>
      <c r="U13" s="34">
        <v>1</v>
      </c>
      <c r="V13" s="34">
        <v>0</v>
      </c>
      <c r="W13" s="27">
        <v>0</v>
      </c>
    </row>
    <row r="14" spans="1:23" ht="14.45" x14ac:dyDescent="0.3">
      <c r="A14" s="36" t="s">
        <v>13</v>
      </c>
      <c r="B14" s="54" t="s">
        <v>14</v>
      </c>
      <c r="C14" s="48">
        <v>35798548.670000002</v>
      </c>
      <c r="D14" s="37">
        <f t="shared" si="0"/>
        <v>3.4196425690610887E-3</v>
      </c>
      <c r="E14" s="33">
        <f>(29414611.28+1123957.39+1659980)/35798548.67</f>
        <v>0.89943726397442247</v>
      </c>
      <c r="F14" s="34">
        <f>3600000/35798548.67</f>
        <v>0.10056273602557754</v>
      </c>
      <c r="G14" s="34">
        <v>0</v>
      </c>
      <c r="H14" s="27">
        <v>0</v>
      </c>
      <c r="I14" s="33">
        <f>(285773.16+1620430.6+8537835.07+18843324.19+440688+143497.34)/34363762.67</f>
        <v>0.86927466723771318</v>
      </c>
      <c r="J14" s="34">
        <f>(546170+2892291.68+35294.4+539836+84955)/34363762.67</f>
        <v>0.11926945018678305</v>
      </c>
      <c r="K14" s="34">
        <f>393667.23/34363762.67</f>
        <v>1.1455882575503772E-2</v>
      </c>
      <c r="L14" s="27">
        <v>0</v>
      </c>
      <c r="M14" s="62">
        <v>0.1</v>
      </c>
      <c r="N14" s="57">
        <v>0.28000000000000003</v>
      </c>
      <c r="O14" s="57">
        <v>0.19</v>
      </c>
      <c r="P14" s="63">
        <v>0.43</v>
      </c>
      <c r="Q14" s="44">
        <v>0.62</v>
      </c>
      <c r="R14" s="45">
        <v>0.09</v>
      </c>
      <c r="S14" s="45">
        <v>0.01</v>
      </c>
      <c r="T14" s="45">
        <v>0.42</v>
      </c>
      <c r="U14" s="45">
        <v>0.39</v>
      </c>
      <c r="V14" s="45">
        <v>0</v>
      </c>
      <c r="W14" s="43">
        <v>0.04</v>
      </c>
    </row>
    <row r="15" spans="1:23" ht="14.45" x14ac:dyDescent="0.3">
      <c r="A15" s="36" t="s">
        <v>11</v>
      </c>
      <c r="B15" s="54" t="s">
        <v>12</v>
      </c>
      <c r="C15" s="48">
        <v>4723422.5599999996</v>
      </c>
      <c r="D15" s="37">
        <f t="shared" si="0"/>
        <v>4.5120312018055627E-4</v>
      </c>
      <c r="E15" s="33">
        <v>1</v>
      </c>
      <c r="F15" s="34">
        <v>0</v>
      </c>
      <c r="G15" s="34">
        <v>0</v>
      </c>
      <c r="H15" s="27">
        <v>0</v>
      </c>
      <c r="I15" s="33">
        <v>1</v>
      </c>
      <c r="J15" s="34">
        <v>0</v>
      </c>
      <c r="K15" s="34">
        <v>0</v>
      </c>
      <c r="L15" s="27">
        <v>0</v>
      </c>
      <c r="M15" s="38">
        <v>0.11</v>
      </c>
      <c r="N15" s="39">
        <v>0</v>
      </c>
      <c r="O15" s="34">
        <v>0.28000000000000003</v>
      </c>
      <c r="P15" s="27">
        <v>0.61</v>
      </c>
      <c r="Q15" s="33">
        <v>0.72</v>
      </c>
      <c r="R15" s="34">
        <v>0.03</v>
      </c>
      <c r="S15" s="34">
        <v>0</v>
      </c>
      <c r="T15" s="34">
        <v>0.38</v>
      </c>
      <c r="U15" s="34">
        <v>0.38</v>
      </c>
      <c r="V15" s="34">
        <v>0</v>
      </c>
      <c r="W15" s="27">
        <v>0.16</v>
      </c>
    </row>
    <row r="16" spans="1:23" ht="14.45" x14ac:dyDescent="0.3">
      <c r="A16" s="16"/>
      <c r="B16" s="3"/>
      <c r="C16" s="49"/>
      <c r="D16" s="17"/>
      <c r="E16" s="21"/>
      <c r="F16" s="22"/>
      <c r="G16" s="22"/>
      <c r="H16" s="23"/>
      <c r="I16" s="21"/>
      <c r="J16" s="22"/>
      <c r="K16" s="22"/>
      <c r="L16" s="23"/>
      <c r="M16" s="21"/>
      <c r="N16" s="22"/>
      <c r="O16" s="22"/>
      <c r="P16" s="23"/>
      <c r="Q16" s="21"/>
      <c r="R16" s="22"/>
      <c r="S16" s="22"/>
      <c r="T16" s="22"/>
      <c r="U16" s="22"/>
      <c r="V16" s="22"/>
      <c r="W16" s="23"/>
    </row>
    <row r="17" spans="1:23" ht="14.45" x14ac:dyDescent="0.3">
      <c r="A17" s="5" t="s">
        <v>15</v>
      </c>
      <c r="B17" s="6"/>
      <c r="C17" s="50"/>
      <c r="D17" s="15"/>
      <c r="E17" s="5"/>
      <c r="F17" s="6"/>
      <c r="G17" s="6"/>
      <c r="H17" s="15"/>
      <c r="I17" s="5"/>
      <c r="J17" s="6"/>
      <c r="K17" s="6"/>
      <c r="L17" s="15"/>
      <c r="M17" s="5"/>
      <c r="N17" s="6"/>
      <c r="O17" s="6"/>
      <c r="P17" s="15"/>
      <c r="Q17" s="5"/>
      <c r="R17" s="6"/>
      <c r="S17" s="6"/>
      <c r="T17" s="6"/>
      <c r="U17" s="6"/>
      <c r="V17" s="6"/>
      <c r="W17" s="15"/>
    </row>
    <row r="18" spans="1:23" ht="14.45" x14ac:dyDescent="0.3">
      <c r="A18" s="36" t="s">
        <v>1</v>
      </c>
      <c r="B18" s="2" t="s">
        <v>2</v>
      </c>
      <c r="C18" s="46">
        <v>1622957659.72</v>
      </c>
      <c r="D18" s="43">
        <f t="shared" si="0"/>
        <v>0.15503240514365449</v>
      </c>
      <c r="E18" s="44">
        <f>(1333101134+38250)/1622957660</f>
        <v>0.82142585531159207</v>
      </c>
      <c r="F18" s="45">
        <v>0</v>
      </c>
      <c r="G18" s="45">
        <f>(11921378.44+277896896.9)/1622957660</f>
        <v>0.17857414428174298</v>
      </c>
      <c r="H18" s="43">
        <v>0</v>
      </c>
      <c r="I18" s="44">
        <f>(7978059.95+40993413.51+54012228.65+1009689419+14190783.11+24876529.98+94206530.92)/1564743475</f>
        <v>0.79626276448923994</v>
      </c>
      <c r="J18" s="45">
        <f>(558000+26604091.86+33630689.03+178596749.8+233513.44+1591443.07+837684.56+249013.77+69885854.6+1353272.47)/1564743475</f>
        <v>0.20037809238987242</v>
      </c>
      <c r="K18" s="45">
        <f>5256197.42/1564743475</f>
        <v>3.3591432103591292E-3</v>
      </c>
      <c r="L18" s="43">
        <v>0</v>
      </c>
      <c r="M18" s="64">
        <v>0.22</v>
      </c>
      <c r="N18" s="65">
        <v>0.21</v>
      </c>
      <c r="O18" s="65">
        <v>0.27</v>
      </c>
      <c r="P18" s="66">
        <v>0.3</v>
      </c>
      <c r="Q18" s="44">
        <v>0.46</v>
      </c>
      <c r="R18" s="45">
        <v>0.11</v>
      </c>
      <c r="S18" s="45">
        <v>0</v>
      </c>
      <c r="T18" s="45">
        <v>0.41</v>
      </c>
      <c r="U18" s="45">
        <v>0.39</v>
      </c>
      <c r="V18" s="45">
        <v>0.01</v>
      </c>
      <c r="W18" s="43">
        <v>0.01</v>
      </c>
    </row>
    <row r="19" spans="1:23" ht="14.45" x14ac:dyDescent="0.3">
      <c r="A19" s="36" t="s">
        <v>16</v>
      </c>
      <c r="B19" s="2" t="s">
        <v>48</v>
      </c>
      <c r="C19" s="48">
        <v>744086895.88999999</v>
      </c>
      <c r="D19" s="43">
        <f t="shared" si="0"/>
        <v>7.1078614044438312E-2</v>
      </c>
      <c r="E19" s="38">
        <v>0.96</v>
      </c>
      <c r="F19" s="39">
        <v>0</v>
      </c>
      <c r="G19" s="39">
        <f>28560728.36/744086895.9</f>
        <v>3.8383592719308364E-2</v>
      </c>
      <c r="H19" s="37">
        <v>0</v>
      </c>
      <c r="I19" s="38">
        <f>(14031599.13+486654+36467194.08+7075892.5+402098980.9+14495858.28+761124.98+169821.6)/551752891.5</f>
        <v>0.86195674331142125</v>
      </c>
      <c r="J19" s="39">
        <f>(1176334.96+15172918.09+210000+2306484.28+299601.14+40445.17+181200+167000+34189642.63+11914152.89)/551752891.5</f>
        <v>0.11899852301906788</v>
      </c>
      <c r="K19" s="39">
        <f>10507986.89/551752891.5</f>
        <v>1.9044733705758932E-2</v>
      </c>
      <c r="L19" s="37">
        <v>0</v>
      </c>
      <c r="M19" s="44">
        <v>0.42</v>
      </c>
      <c r="N19" s="45">
        <v>0.19</v>
      </c>
      <c r="O19" s="45">
        <v>0.19</v>
      </c>
      <c r="P19" s="43">
        <v>0.2</v>
      </c>
      <c r="Q19" s="38">
        <v>0.08</v>
      </c>
      <c r="R19" s="39">
        <v>0</v>
      </c>
      <c r="S19" s="39">
        <v>0</v>
      </c>
      <c r="T19" s="39">
        <v>0.03</v>
      </c>
      <c r="U19" s="39">
        <v>0.02</v>
      </c>
      <c r="V19" s="39">
        <v>0</v>
      </c>
      <c r="W19" s="37">
        <v>0.02</v>
      </c>
    </row>
    <row r="20" spans="1:23" ht="14.45" x14ac:dyDescent="0.3">
      <c r="A20" s="36" t="s">
        <v>17</v>
      </c>
      <c r="B20" s="2" t="s">
        <v>49</v>
      </c>
      <c r="C20" s="48">
        <v>605944337.07000005</v>
      </c>
      <c r="D20" s="43">
        <f t="shared" si="0"/>
        <v>5.7882599337401384E-2</v>
      </c>
      <c r="E20" s="38">
        <f>387944337.1/605944337.1</f>
        <v>0.64023098054958294</v>
      </c>
      <c r="F20" s="39">
        <f>218000000/605944337.1</f>
        <v>0.35976901945041712</v>
      </c>
      <c r="G20" s="39">
        <v>0</v>
      </c>
      <c r="H20" s="37">
        <v>0</v>
      </c>
      <c r="I20" s="38">
        <v>0.98</v>
      </c>
      <c r="J20" s="39">
        <f>(72012+244548+43627+263614+165581+4162649.45)/365848186.5</f>
        <v>1.35357550829352E-2</v>
      </c>
      <c r="K20" s="39">
        <f>4273281.62/365848186.5</f>
        <v>1.168047779840505E-2</v>
      </c>
      <c r="L20" s="37">
        <v>0</v>
      </c>
      <c r="M20" s="44">
        <v>0.19</v>
      </c>
      <c r="N20" s="45">
        <v>0.13</v>
      </c>
      <c r="O20" s="45">
        <v>0.31</v>
      </c>
      <c r="P20" s="43">
        <v>0.37</v>
      </c>
      <c r="Q20" s="38">
        <v>0.59</v>
      </c>
      <c r="R20" s="39">
        <v>0.06</v>
      </c>
      <c r="S20" s="39">
        <v>0</v>
      </c>
      <c r="T20" s="39">
        <v>0.59</v>
      </c>
      <c r="U20" s="39">
        <v>0.59</v>
      </c>
      <c r="V20" s="39">
        <v>0.03</v>
      </c>
      <c r="W20" s="37">
        <v>0.03</v>
      </c>
    </row>
    <row r="21" spans="1:23" ht="14.45" x14ac:dyDescent="0.3">
      <c r="A21" s="36" t="s">
        <v>19</v>
      </c>
      <c r="B21" s="2" t="s">
        <v>51</v>
      </c>
      <c r="C21" s="47">
        <v>441801171.29000002</v>
      </c>
      <c r="D21" s="43">
        <f t="shared" si="0"/>
        <v>4.2202886668152008E-2</v>
      </c>
      <c r="E21" s="44">
        <v>1</v>
      </c>
      <c r="F21" s="45">
        <v>0</v>
      </c>
      <c r="G21" s="45">
        <v>0</v>
      </c>
      <c r="H21" s="43">
        <v>0</v>
      </c>
      <c r="I21" s="44">
        <f>(343919+41292228.15+295360+2811395.5+1281274.23)/307156590.3</f>
        <v>0.14983945757129338</v>
      </c>
      <c r="J21" s="45">
        <f>(1553013.39+75999.5+255028279+4362216.52+112905)/307156590.3</f>
        <v>0.85016054239614991</v>
      </c>
      <c r="K21" s="45">
        <v>0</v>
      </c>
      <c r="L21" s="56">
        <v>0</v>
      </c>
      <c r="M21" s="44">
        <v>0.43</v>
      </c>
      <c r="N21" s="45">
        <v>0.5</v>
      </c>
      <c r="O21" s="45">
        <f>161004
/C21</f>
        <v>3.644263765301707E-4</v>
      </c>
      <c r="P21" s="43">
        <v>7.0000000000000007E-2</v>
      </c>
      <c r="Q21" s="44">
        <v>0.1</v>
      </c>
      <c r="R21" s="45">
        <v>0</v>
      </c>
      <c r="S21" s="45">
        <v>0</v>
      </c>
      <c r="T21" s="45">
        <v>0.09</v>
      </c>
      <c r="U21" s="45">
        <v>0.09</v>
      </c>
      <c r="V21" s="45">
        <v>0</v>
      </c>
      <c r="W21" s="43">
        <v>0</v>
      </c>
    </row>
    <row r="22" spans="1:23" ht="14.45" x14ac:dyDescent="0.3">
      <c r="A22" s="36" t="s">
        <v>0</v>
      </c>
      <c r="B22" s="2" t="s">
        <v>67</v>
      </c>
      <c r="C22" s="48">
        <v>390700569.43000001</v>
      </c>
      <c r="D22" s="43">
        <f t="shared" si="0"/>
        <v>3.7321521363766381E-2</v>
      </c>
      <c r="E22" s="38">
        <f>(284385714.4+84983+41888)/390700569.4</f>
        <v>0.72821134055915715</v>
      </c>
      <c r="F22" s="57">
        <f>801620/390700569.4</f>
        <v>2.0517502731850386E-3</v>
      </c>
      <c r="G22" s="39">
        <f>(7171537.52+98214826.53)/390700569.4</f>
        <v>0.2697369092956331</v>
      </c>
      <c r="H22" s="37">
        <v>0</v>
      </c>
      <c r="I22" s="38">
        <f>(3303294.5+108261+94737396.64+34405400.06+164076131.8+20214120.75+3778288.32+20798955.18+189934.48)/372370583.7</f>
        <v>0.91739733932694112</v>
      </c>
      <c r="J22" s="39">
        <f>(662656+6421330.27+5087387.62+126900.8+748320.76+959272.8+1158927.48+10182551.7+1970134.79)/372370583.7</f>
        <v>7.3361010283262071E-2</v>
      </c>
      <c r="K22" s="39">
        <f>3441318.73/372370583.7</f>
        <v>9.241650336086954E-3</v>
      </c>
      <c r="L22" s="37">
        <v>0</v>
      </c>
      <c r="M22" s="44">
        <v>0.11</v>
      </c>
      <c r="N22" s="45">
        <v>0.15</v>
      </c>
      <c r="O22" s="45">
        <v>0.26</v>
      </c>
      <c r="P22" s="43">
        <v>0.48</v>
      </c>
      <c r="Q22" s="38">
        <v>0.47</v>
      </c>
      <c r="R22" s="39">
        <v>0.04</v>
      </c>
      <c r="S22" s="39">
        <v>0</v>
      </c>
      <c r="T22" s="39">
        <v>0.23</v>
      </c>
      <c r="U22" s="39">
        <v>0.22</v>
      </c>
      <c r="V22" s="39">
        <v>0.04</v>
      </c>
      <c r="W22" s="37">
        <v>0.04</v>
      </c>
    </row>
    <row r="23" spans="1:23" ht="14.45" x14ac:dyDescent="0.3">
      <c r="A23" s="36" t="s">
        <v>21</v>
      </c>
      <c r="B23" s="2" t="s">
        <v>53</v>
      </c>
      <c r="C23" s="48">
        <v>388066175.58999997</v>
      </c>
      <c r="D23" s="43">
        <f t="shared" si="0"/>
        <v>3.7069871907192575E-2</v>
      </c>
      <c r="E23" s="38">
        <v>1</v>
      </c>
      <c r="F23" s="39">
        <v>0</v>
      </c>
      <c r="G23" s="39">
        <v>0</v>
      </c>
      <c r="H23" s="37">
        <v>0</v>
      </c>
      <c r="I23" s="38">
        <f>(3879177.93+177960863.8+2583426.12)/335552744.6</f>
        <v>0.54961096524435937</v>
      </c>
      <c r="J23" s="39">
        <f>(88437297.41+3314516.11)/335552744.6</f>
        <v>0.27343484741683138</v>
      </c>
      <c r="K23" s="39">
        <f>59322987.33/335552744.6</f>
        <v>0.17679184058147618</v>
      </c>
      <c r="L23" s="37">
        <f>54475.82/335552744.6</f>
        <v>1.6234651892041177E-4</v>
      </c>
      <c r="M23" s="64">
        <v>0.25</v>
      </c>
      <c r="N23" s="65">
        <v>0.09</v>
      </c>
      <c r="O23" s="65">
        <v>0.12</v>
      </c>
      <c r="P23" s="66">
        <v>0.54</v>
      </c>
      <c r="Q23" s="38">
        <v>0.26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7">
        <v>0.02</v>
      </c>
    </row>
    <row r="24" spans="1:23" ht="14.45" x14ac:dyDescent="0.3">
      <c r="A24" s="36" t="s">
        <v>20</v>
      </c>
      <c r="B24" s="2" t="s">
        <v>52</v>
      </c>
      <c r="C24" s="48">
        <v>351690651.44</v>
      </c>
      <c r="D24" s="43">
        <f t="shared" si="0"/>
        <v>3.3595113977704434E-2</v>
      </c>
      <c r="E24" s="38">
        <v>1</v>
      </c>
      <c r="F24" s="39">
        <v>0</v>
      </c>
      <c r="G24" s="39">
        <v>0</v>
      </c>
      <c r="H24" s="37">
        <v>0</v>
      </c>
      <c r="I24" s="38">
        <f>(810409.45+240405.04+144440.05+162986.2+188689997.3+35209723.4+97125863.92)/339274448</f>
        <v>0.95021545907872207</v>
      </c>
      <c r="J24" s="39">
        <f>(1973020.36+311763.66+998908.86+1611775+78645+485964+3447324.83+693726.67)/339274448</f>
        <v>2.8299002287375325E-2</v>
      </c>
      <c r="K24" s="39">
        <f>7289494.25/339274448</f>
        <v>2.1485538604427999E-2</v>
      </c>
      <c r="L24" s="37">
        <v>0</v>
      </c>
      <c r="M24" s="44">
        <v>0.14000000000000001</v>
      </c>
      <c r="N24" s="45">
        <v>0.19</v>
      </c>
      <c r="O24" s="45">
        <v>0.18</v>
      </c>
      <c r="P24" s="43">
        <v>0.49</v>
      </c>
      <c r="Q24" s="38">
        <v>0.96</v>
      </c>
      <c r="R24" s="39">
        <v>0.12</v>
      </c>
      <c r="S24" s="39">
        <v>0.01</v>
      </c>
      <c r="T24" s="39">
        <v>0.94</v>
      </c>
      <c r="U24" s="39">
        <v>0.94</v>
      </c>
      <c r="V24" s="39">
        <v>0.1</v>
      </c>
      <c r="W24" s="37">
        <v>0.03</v>
      </c>
    </row>
    <row r="25" spans="1:23" ht="14.45" x14ac:dyDescent="0.3">
      <c r="A25" s="36" t="s">
        <v>18</v>
      </c>
      <c r="B25" s="2" t="s">
        <v>50</v>
      </c>
      <c r="C25" s="48">
        <v>296481188.58999997</v>
      </c>
      <c r="D25" s="43">
        <f t="shared" si="0"/>
        <v>2.8321251310331197E-2</v>
      </c>
      <c r="E25" s="38">
        <v>1</v>
      </c>
      <c r="F25" s="39">
        <v>0</v>
      </c>
      <c r="G25" s="39">
        <v>0</v>
      </c>
      <c r="H25" s="37">
        <v>0</v>
      </c>
      <c r="I25" s="38">
        <f>(696037.08+117633963+13475955.02+19004978.3+9062565.17)/267510926.2</f>
        <v>0.59763352787494484</v>
      </c>
      <c r="J25" s="39">
        <f>(186155.2+379939.56+34985.55+635562+1932441.5+627119.5+78058485.58+961283.9)/267510926.2</f>
        <v>0.30957977667081926</v>
      </c>
      <c r="K25" s="39">
        <f>24821454.87/267510926.2</f>
        <v>9.2786695566380958E-2</v>
      </c>
      <c r="L25" s="37">
        <v>0</v>
      </c>
      <c r="M25" s="44">
        <v>0.31</v>
      </c>
      <c r="N25" s="45">
        <v>0.28000000000000003</v>
      </c>
      <c r="O25" s="45">
        <v>0.16</v>
      </c>
      <c r="P25" s="43">
        <v>0.25</v>
      </c>
      <c r="Q25" s="38">
        <v>0.2</v>
      </c>
      <c r="R25" s="39">
        <v>0</v>
      </c>
      <c r="S25" s="39">
        <v>0</v>
      </c>
      <c r="T25" s="39">
        <v>0.08</v>
      </c>
      <c r="U25" s="39">
        <v>0.06</v>
      </c>
      <c r="V25" s="39">
        <v>0</v>
      </c>
      <c r="W25" s="37">
        <v>0.03</v>
      </c>
    </row>
    <row r="26" spans="1:23" ht="14.45" x14ac:dyDescent="0.3">
      <c r="A26" s="36" t="s">
        <v>65</v>
      </c>
      <c r="B26" s="2" t="s">
        <v>68</v>
      </c>
      <c r="C26" s="48">
        <v>206136996.61000001</v>
      </c>
      <c r="D26" s="43">
        <f t="shared" si="0"/>
        <v>1.9691157179695724E-2</v>
      </c>
      <c r="E26" s="38">
        <v>1</v>
      </c>
      <c r="F26" s="39">
        <v>0</v>
      </c>
      <c r="G26" s="39">
        <v>0</v>
      </c>
      <c r="H26" s="37">
        <v>0</v>
      </c>
      <c r="I26" s="38">
        <v>0.97</v>
      </c>
      <c r="J26" s="39">
        <f>(4238746+78061.42+61401+351693+141674.86)/202766829.8</f>
        <v>2.4025508929666168E-2</v>
      </c>
      <c r="K26" s="39">
        <f>2748899.2/202766829.8</f>
        <v>1.3556947172825996E-2</v>
      </c>
      <c r="L26" s="37">
        <v>0</v>
      </c>
      <c r="M26" s="44">
        <v>0.13</v>
      </c>
      <c r="N26" s="45">
        <v>0.13</v>
      </c>
      <c r="O26" s="45">
        <v>0.2</v>
      </c>
      <c r="P26" s="43">
        <v>0.54</v>
      </c>
      <c r="Q26" s="38">
        <v>0.94</v>
      </c>
      <c r="R26" s="39">
        <v>0.1</v>
      </c>
      <c r="S26" s="39">
        <v>0.01</v>
      </c>
      <c r="T26" s="39">
        <v>0.89</v>
      </c>
      <c r="U26" s="39">
        <v>0.88</v>
      </c>
      <c r="V26" s="39">
        <v>7.0000000000000007E-2</v>
      </c>
      <c r="W26" s="37">
        <v>0.05</v>
      </c>
    </row>
    <row r="27" spans="1:23" thickBot="1" x14ac:dyDescent="0.35">
      <c r="A27" s="55" t="s">
        <v>66</v>
      </c>
      <c r="B27" s="18" t="s">
        <v>69</v>
      </c>
      <c r="C27" s="51">
        <v>198780999.61000001</v>
      </c>
      <c r="D27" s="61">
        <f t="shared" si="0"/>
        <v>1.898847840042538E-2</v>
      </c>
      <c r="E27" s="40">
        <v>1</v>
      </c>
      <c r="F27" s="41">
        <v>0</v>
      </c>
      <c r="G27" s="41">
        <v>0</v>
      </c>
      <c r="H27" s="42">
        <v>0</v>
      </c>
      <c r="I27" s="40">
        <f>(7017352.2+54999.96+8070524.29+1792640.6+84225782.57+4931045.91+227970.96+274871.97)/194835916.9</f>
        <v>0.54710235235893501</v>
      </c>
      <c r="J27" s="41">
        <f>(8677914.12+29399428.01+2515065.32+1397884.41+49509.6+41570861.06+4417124.93)/194835916.9</f>
        <v>0.45180472292067425</v>
      </c>
      <c r="K27" s="41">
        <f>212940.94/194835916.9</f>
        <v>1.0929244637645145E-3</v>
      </c>
      <c r="L27" s="42">
        <v>0</v>
      </c>
      <c r="M27" s="59">
        <v>0.56999999999999995</v>
      </c>
      <c r="N27" s="60">
        <v>0.18</v>
      </c>
      <c r="O27" s="60">
        <v>0.12</v>
      </c>
      <c r="P27" s="61">
        <v>0.13</v>
      </c>
      <c r="Q27" s="40">
        <v>0.12</v>
      </c>
      <c r="R27" s="41">
        <v>0</v>
      </c>
      <c r="S27" s="41">
        <v>0</v>
      </c>
      <c r="T27" s="41">
        <v>0.03</v>
      </c>
      <c r="U27" s="41">
        <v>0.02</v>
      </c>
      <c r="V27" s="41">
        <v>0</v>
      </c>
      <c r="W27" s="42">
        <v>0.02</v>
      </c>
    </row>
    <row r="28" spans="1:23" thickTop="1" x14ac:dyDescent="0.3"/>
    <row r="29" spans="1:23" ht="14.45" x14ac:dyDescent="0.3">
      <c r="C29" s="25"/>
    </row>
    <row r="30" spans="1:23" ht="14.45" x14ac:dyDescent="0.3">
      <c r="B30" s="26"/>
      <c r="C30" s="25"/>
    </row>
    <row r="31" spans="1:23" ht="14.45" x14ac:dyDescent="0.3">
      <c r="A31" s="6"/>
      <c r="B31" s="35"/>
      <c r="C31" s="28"/>
      <c r="D31" s="6"/>
      <c r="E31" s="6"/>
      <c r="G31" s="26"/>
      <c r="H31" s="25"/>
    </row>
    <row r="32" spans="1:23" ht="14.45" x14ac:dyDescent="0.3">
      <c r="A32" s="6"/>
      <c r="B32" s="29"/>
      <c r="C32" s="28"/>
      <c r="D32" s="6"/>
      <c r="E32" s="6"/>
      <c r="G32" s="26"/>
      <c r="H32" s="25"/>
    </row>
    <row r="33" spans="1:8" ht="14.45" x14ac:dyDescent="0.3">
      <c r="A33" s="6"/>
      <c r="B33" s="30"/>
      <c r="C33" s="31"/>
      <c r="D33" s="6"/>
      <c r="E33" s="6"/>
      <c r="G33" s="26"/>
      <c r="H33" s="25"/>
    </row>
    <row r="34" spans="1:8" ht="14.45" x14ac:dyDescent="0.3">
      <c r="A34" s="6"/>
      <c r="B34" s="32"/>
      <c r="C34" s="28"/>
      <c r="D34" s="6"/>
      <c r="E34" s="6"/>
      <c r="G34" s="26"/>
      <c r="H34" s="25"/>
    </row>
    <row r="35" spans="1:8" ht="14.45" x14ac:dyDescent="0.3">
      <c r="A35" s="6"/>
      <c r="B35" s="30"/>
      <c r="C35" s="31"/>
      <c r="D35" s="6"/>
      <c r="E35" s="6"/>
      <c r="G35" s="26"/>
      <c r="H35" s="25"/>
    </row>
    <row r="36" spans="1:8" ht="14.45" x14ac:dyDescent="0.3">
      <c r="A36" s="6"/>
      <c r="B36" s="32"/>
      <c r="C36" s="28"/>
      <c r="D36" s="6"/>
      <c r="E36" s="6"/>
      <c r="G36" s="26"/>
      <c r="H36" s="25"/>
    </row>
    <row r="37" spans="1:8" ht="14.45" x14ac:dyDescent="0.3">
      <c r="A37" s="6"/>
      <c r="B37" s="30"/>
      <c r="C37" s="31"/>
      <c r="D37" s="6"/>
      <c r="E37" s="6"/>
      <c r="G37" s="26"/>
      <c r="H37" s="25"/>
    </row>
    <row r="38" spans="1:8" ht="14.45" x14ac:dyDescent="0.3">
      <c r="A38" s="6"/>
      <c r="B38" s="32"/>
      <c r="C38" s="28"/>
      <c r="D38" s="6"/>
      <c r="E38" s="6"/>
      <c r="G38" s="26"/>
      <c r="H38" s="25"/>
    </row>
    <row r="39" spans="1:8" ht="14.45" x14ac:dyDescent="0.3">
      <c r="A39" s="6"/>
      <c r="B39" s="30"/>
      <c r="C39" s="31"/>
      <c r="D39" s="6"/>
      <c r="E39" s="6"/>
      <c r="G39" s="26"/>
      <c r="H39" s="25"/>
    </row>
    <row r="40" spans="1:8" ht="14.45" x14ac:dyDescent="0.3">
      <c r="A40" s="6"/>
      <c r="B40" s="32"/>
      <c r="C40" s="28"/>
      <c r="D40" s="6"/>
      <c r="E40" s="6"/>
      <c r="G40" s="26"/>
      <c r="H40" s="25"/>
    </row>
    <row r="41" spans="1:8" x14ac:dyDescent="0.25">
      <c r="A41" s="6"/>
      <c r="B41" s="30"/>
      <c r="C41" s="31"/>
      <c r="D41" s="6"/>
      <c r="E41" s="6"/>
    </row>
    <row r="42" spans="1:8" x14ac:dyDescent="0.25">
      <c r="A42" s="6"/>
      <c r="B42" s="32"/>
      <c r="C42" s="28"/>
      <c r="D42" s="6"/>
      <c r="E42" s="6"/>
    </row>
    <row r="43" spans="1:8" x14ac:dyDescent="0.25">
      <c r="A43" s="6"/>
      <c r="B43" s="30"/>
      <c r="C43" s="31"/>
      <c r="D43" s="6"/>
      <c r="E43" s="6"/>
    </row>
    <row r="44" spans="1:8" x14ac:dyDescent="0.25">
      <c r="A44" s="6"/>
      <c r="B44" s="32"/>
      <c r="C44" s="28"/>
      <c r="D44" s="6"/>
      <c r="E44" s="6"/>
    </row>
    <row r="45" spans="1:8" x14ac:dyDescent="0.25">
      <c r="A45" s="6"/>
      <c r="B45" s="30"/>
      <c r="C45" s="31"/>
      <c r="D45" s="6"/>
      <c r="E45" s="6"/>
    </row>
    <row r="46" spans="1:8" x14ac:dyDescent="0.25">
      <c r="A46" s="6"/>
      <c r="B46" s="32"/>
      <c r="C46" s="28"/>
      <c r="D46" s="6"/>
      <c r="E46" s="6"/>
    </row>
    <row r="47" spans="1:8" x14ac:dyDescent="0.25">
      <c r="A47" s="6"/>
      <c r="B47" s="30"/>
      <c r="C47" s="31"/>
      <c r="D47" s="6"/>
      <c r="E47" s="6"/>
    </row>
    <row r="48" spans="1:8" x14ac:dyDescent="0.25">
      <c r="A48" s="6"/>
      <c r="B48" s="32"/>
      <c r="C48" s="28"/>
      <c r="D48" s="6"/>
      <c r="E48" s="6"/>
    </row>
    <row r="49" spans="1:5" x14ac:dyDescent="0.25">
      <c r="A49" s="6"/>
      <c r="B49" s="30"/>
      <c r="C49" s="31"/>
      <c r="D49" s="6"/>
      <c r="E49" s="6"/>
    </row>
    <row r="50" spans="1:5" x14ac:dyDescent="0.25">
      <c r="A50" s="6"/>
      <c r="B50" s="32"/>
      <c r="C50" s="28"/>
      <c r="D50" s="6"/>
      <c r="E50" s="6"/>
    </row>
    <row r="51" spans="1:5" x14ac:dyDescent="0.25">
      <c r="A51" s="6"/>
      <c r="B51" s="30"/>
      <c r="C51" s="31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x14ac:dyDescent="0.25">
      <c r="A54" s="6"/>
      <c r="B54" s="6"/>
      <c r="C54" s="6"/>
      <c r="D54" s="6"/>
      <c r="E54" s="6"/>
    </row>
  </sheetData>
  <mergeCells count="9">
    <mergeCell ref="Q1:W1"/>
    <mergeCell ref="Q2:W2"/>
    <mergeCell ref="C1:D2"/>
    <mergeCell ref="E1:H1"/>
    <mergeCell ref="E2:H2"/>
    <mergeCell ref="I1:L1"/>
    <mergeCell ref="I2:L2"/>
    <mergeCell ref="M1:P1"/>
    <mergeCell ref="M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DB5506-FCED-43EE-8106-325FA2FA4866}"/>
</file>

<file path=customXml/itemProps2.xml><?xml version="1.0" encoding="utf-8"?>
<ds:datastoreItem xmlns:ds="http://schemas.openxmlformats.org/officeDocument/2006/customXml" ds:itemID="{CE4AA840-94D6-4C26-8478-36E35718146C}"/>
</file>

<file path=customXml/itemProps3.xml><?xml version="1.0" encoding="utf-8"?>
<ds:datastoreItem xmlns:ds="http://schemas.openxmlformats.org/officeDocument/2006/customXml" ds:itemID="{63A68069-BB5C-4D95-8BB4-5F59EFEFF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Hague, Richard J (SPO)</dc:creator>
  <cp:lastModifiedBy>Department of Veterans Affairs</cp:lastModifiedBy>
  <dcterms:created xsi:type="dcterms:W3CDTF">2014-12-18T19:04:38Z</dcterms:created>
  <dcterms:modified xsi:type="dcterms:W3CDTF">2017-09-12T19:36:21Z</dcterms:modified>
</cp:coreProperties>
</file>